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AOL Downloads\Ag\Analysis\Crops compared\"/>
    </mc:Choice>
  </mc:AlternateContent>
  <bookViews>
    <workbookView xWindow="-276" yWindow="36" windowWidth="15192" windowHeight="8700"/>
  </bookViews>
  <sheets>
    <sheet name="Crops" sheetId="1" r:id="rId1"/>
    <sheet name="Fert" sheetId="2" r:id="rId2"/>
  </sheets>
  <calcPr calcId="152511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C14" i="1"/>
  <c r="D14" i="1"/>
  <c r="E14" i="1"/>
  <c r="F14" i="1"/>
  <c r="G14" i="1"/>
  <c r="D20" i="1"/>
  <c r="B4" i="2"/>
  <c r="C4" i="2" s="1"/>
  <c r="G5" i="2"/>
  <c r="H5" i="2"/>
  <c r="I5" i="2"/>
  <c r="B10" i="2"/>
  <c r="C10" i="2" s="1"/>
  <c r="G11" i="2"/>
  <c r="H11" i="2"/>
  <c r="I11" i="2"/>
  <c r="B16" i="2"/>
  <c r="C16" i="2" s="1"/>
  <c r="G17" i="2"/>
  <c r="H17" i="2"/>
  <c r="I17" i="2"/>
  <c r="B22" i="2"/>
  <c r="C22" i="2" s="1"/>
  <c r="G23" i="2"/>
  <c r="H23" i="2"/>
  <c r="I23" i="2"/>
  <c r="C28" i="2"/>
  <c r="D28" i="2"/>
  <c r="E28" i="2"/>
  <c r="G29" i="2"/>
  <c r="H29" i="2"/>
  <c r="I29" i="2"/>
  <c r="B23" i="2" l="1"/>
  <c r="J21" i="2" s="1"/>
  <c r="C23" i="2" s="1"/>
  <c r="D22" i="2"/>
  <c r="B17" i="2"/>
  <c r="J15" i="2" s="1"/>
  <c r="B11" i="2"/>
  <c r="J9" i="2" s="1"/>
  <c r="E11" i="2" s="1"/>
  <c r="D10" i="2"/>
  <c r="B5" i="2"/>
  <c r="J3" i="2" s="1"/>
  <c r="E5" i="2" s="1"/>
  <c r="D4" i="2"/>
  <c r="J29" i="2"/>
  <c r="K27" i="2" s="1"/>
  <c r="G11" i="1" s="1"/>
  <c r="G21" i="1" s="1"/>
  <c r="G22" i="1" s="1"/>
  <c r="J23" i="2"/>
  <c r="J17" i="2"/>
  <c r="K15" i="2" s="1"/>
  <c r="F11" i="1" s="1"/>
  <c r="J11" i="2"/>
  <c r="J5" i="2"/>
  <c r="D16" i="2"/>
  <c r="C17" i="2"/>
  <c r="E17" i="2"/>
  <c r="D17" i="2"/>
  <c r="C11" i="2"/>
  <c r="E22" i="2"/>
  <c r="E16" i="2"/>
  <c r="E10" i="2"/>
  <c r="E4" i="2"/>
  <c r="K21" i="2" l="1"/>
  <c r="C11" i="1" s="1"/>
  <c r="E23" i="2"/>
  <c r="D23" i="2"/>
  <c r="K3" i="2"/>
  <c r="D11" i="1" s="1"/>
  <c r="D21" i="1" s="1"/>
  <c r="D22" i="1" s="1"/>
  <c r="D5" i="2"/>
  <c r="C5" i="2"/>
  <c r="D11" i="2"/>
  <c r="K9" i="2"/>
  <c r="E11" i="1" s="1"/>
  <c r="E21" i="1" s="1"/>
  <c r="E22" i="1" s="1"/>
  <c r="F21" i="1"/>
  <c r="F22" i="1" s="1"/>
  <c r="G24" i="1"/>
  <c r="G30" i="1"/>
  <c r="G27" i="1"/>
  <c r="C21" i="1"/>
  <c r="C22" i="1" s="1"/>
  <c r="F27" i="1" l="1"/>
  <c r="F24" i="1"/>
  <c r="F30" i="1"/>
  <c r="E24" i="1"/>
  <c r="E30" i="1"/>
  <c r="E27" i="1"/>
  <c r="C24" i="1"/>
  <c r="C30" i="1"/>
  <c r="C27" i="1"/>
  <c r="D27" i="1"/>
  <c r="D24" i="1"/>
  <c r="D30" i="1"/>
  <c r="E31" i="1" l="1"/>
  <c r="G31" i="1"/>
  <c r="C31" i="1"/>
  <c r="F31" i="1"/>
  <c r="C28" i="1"/>
  <c r="F28" i="1"/>
  <c r="E28" i="1"/>
  <c r="G28" i="1"/>
  <c r="E25" i="1"/>
  <c r="G25" i="1"/>
  <c r="C25" i="1"/>
  <c r="F25" i="1"/>
</calcChain>
</file>

<file path=xl/sharedStrings.xml><?xml version="1.0" encoding="utf-8"?>
<sst xmlns="http://schemas.openxmlformats.org/spreadsheetml/2006/main" count="131" uniqueCount="51">
  <si>
    <t>Black</t>
  </si>
  <si>
    <t>Beans</t>
  </si>
  <si>
    <t>Roundup</t>
  </si>
  <si>
    <t>Corn</t>
  </si>
  <si>
    <t>Soys</t>
  </si>
  <si>
    <t>Revenue</t>
  </si>
  <si>
    <t>Description</t>
  </si>
  <si>
    <t>Yield</t>
  </si>
  <si>
    <t>Price</t>
  </si>
  <si>
    <t>Total Revenue</t>
  </si>
  <si>
    <t>Seed</t>
  </si>
  <si>
    <t>Chemicals</t>
  </si>
  <si>
    <t>Trucking</t>
  </si>
  <si>
    <t>Harvesting</t>
  </si>
  <si>
    <t>Fertilizer Application</t>
  </si>
  <si>
    <t>Gross Margin</t>
  </si>
  <si>
    <t>Variable Expenses</t>
  </si>
  <si>
    <t>Total Variable Expenses</t>
  </si>
  <si>
    <t>Interest (cash expenses for 8 months)</t>
  </si>
  <si>
    <t>Gross Margin with 20% Less Yield</t>
  </si>
  <si>
    <t>Gross Margin with 20% More Yield</t>
  </si>
  <si>
    <t xml:space="preserve">     Change only colored numbers</t>
  </si>
  <si>
    <t>Stress/Risk</t>
  </si>
  <si>
    <t>Tillage, Planting, Spraying</t>
  </si>
  <si>
    <t>Price Needed to Equal Corn</t>
  </si>
  <si>
    <t xml:space="preserve"> </t>
  </si>
  <si>
    <t>Sugar Beets</t>
  </si>
  <si>
    <t>N</t>
  </si>
  <si>
    <t>P</t>
  </si>
  <si>
    <t>K</t>
  </si>
  <si>
    <t>Wheat</t>
  </si>
  <si>
    <t>Blacks</t>
  </si>
  <si>
    <t>Urea</t>
  </si>
  <si>
    <t>Dap</t>
  </si>
  <si>
    <t>Potash</t>
  </si>
  <si>
    <t>#/ac</t>
  </si>
  <si>
    <t>$/ac</t>
  </si>
  <si>
    <t>$/ton</t>
  </si>
  <si>
    <t>#/cwt</t>
  </si>
  <si>
    <t>#/acre</t>
  </si>
  <si>
    <t>#/bu</t>
  </si>
  <si>
    <t>yield</t>
  </si>
  <si>
    <t>#</t>
  </si>
  <si>
    <t>$</t>
  </si>
  <si>
    <t>micros</t>
  </si>
  <si>
    <t>Drying ($.20/bu)</t>
  </si>
  <si>
    <t>*</t>
  </si>
  <si>
    <t>R Wheat</t>
  </si>
  <si>
    <t>Fertilizer  - Revise costs on 2nd page</t>
  </si>
  <si>
    <t xml:space="preserve">Crop Insurance - 75% </t>
  </si>
  <si>
    <t>Crops Compared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</si>
</sst>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\ ;\(&quot;$&quot;#,##0\)"/>
    <numFmt numFmtId="165" formatCode="&quot;$&quot;#,##0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b/>
      <sz val="13"/>
      <color indexed="17"/>
      <name val="Arial"/>
      <family val="2"/>
    </font>
    <font>
      <b/>
      <sz val="13"/>
      <color indexed="16"/>
      <name val="Arial"/>
      <family val="2"/>
    </font>
    <font>
      <sz val="13"/>
      <color indexed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4" fillId="0" borderId="0" xfId="2" applyNumberFormat="1" applyFont="1" applyBorder="1"/>
    <xf numFmtId="3" fontId="3" fillId="0" borderId="0" xfId="1" applyFont="1"/>
    <xf numFmtId="44" fontId="7" fillId="0" borderId="0" xfId="2" applyFont="1"/>
    <xf numFmtId="44" fontId="4" fillId="0" borderId="0" xfId="0" applyNumberFormat="1" applyFont="1"/>
    <xf numFmtId="44" fontId="3" fillId="0" borderId="0" xfId="0" applyNumberFormat="1" applyFont="1"/>
    <xf numFmtId="44" fontId="4" fillId="0" borderId="0" xfId="2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" fontId="5" fillId="0" borderId="0" xfId="1" applyNumberFormat="1" applyFont="1" applyFill="1" applyProtection="1">
      <protection locked="0"/>
    </xf>
    <xf numFmtId="44" fontId="6" fillId="0" borderId="2" xfId="2" applyFont="1" applyFill="1" applyBorder="1" applyProtection="1">
      <protection locked="0"/>
    </xf>
    <xf numFmtId="44" fontId="8" fillId="0" borderId="0" xfId="2" applyFont="1" applyFill="1" applyProtection="1">
      <protection locked="0"/>
    </xf>
    <xf numFmtId="44" fontId="8" fillId="0" borderId="0" xfId="2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/>
    <xf numFmtId="0" fontId="0" fillId="0" borderId="0" xfId="0" applyProtection="1"/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7" fontId="8" fillId="0" borderId="2" xfId="2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5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0" borderId="2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166" fontId="17" fillId="0" borderId="0" xfId="0" applyNumberFormat="1" applyFont="1" applyProtection="1">
      <protection locked="0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">
    <cellStyle name="Comma0" xfId="1"/>
    <cellStyle name="Currency" xfId="2" builtinId="4"/>
    <cellStyle name="Currency0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RowHeight="13.2" x14ac:dyDescent="0.25"/>
  <cols>
    <col min="1" max="1" width="41.5546875" style="19" bestFit="1" customWidth="1"/>
    <col min="2" max="2" width="7.33203125" style="19" customWidth="1"/>
    <col min="3" max="7" width="18.5546875" customWidth="1"/>
  </cols>
  <sheetData>
    <row r="1" spans="1:7" ht="21" x14ac:dyDescent="0.4">
      <c r="A1" s="18" t="s">
        <v>21</v>
      </c>
      <c r="B1" s="18"/>
      <c r="C1" s="11" t="s">
        <v>50</v>
      </c>
      <c r="D1" s="12"/>
      <c r="E1" s="12"/>
      <c r="F1" s="12"/>
      <c r="G1" s="12"/>
    </row>
    <row r="3" spans="1:7" ht="16.8" x14ac:dyDescent="0.3">
      <c r="C3" s="2" t="s">
        <v>0</v>
      </c>
      <c r="D3" s="2" t="s">
        <v>2</v>
      </c>
      <c r="E3" s="2" t="s">
        <v>2</v>
      </c>
      <c r="F3" s="50" t="s">
        <v>47</v>
      </c>
      <c r="G3" s="50" t="s">
        <v>26</v>
      </c>
    </row>
    <row r="4" spans="1:7" ht="17.399999999999999" thickBot="1" x14ac:dyDescent="0.35">
      <c r="A4" s="20" t="s">
        <v>6</v>
      </c>
      <c r="B4" s="20"/>
      <c r="C4" s="3" t="s">
        <v>1</v>
      </c>
      <c r="D4" s="3" t="s">
        <v>3</v>
      </c>
      <c r="E4" s="3" t="s">
        <v>4</v>
      </c>
      <c r="F4" s="51"/>
      <c r="G4" s="51"/>
    </row>
    <row r="5" spans="1:7" ht="17.399999999999999" thickTop="1" x14ac:dyDescent="0.3">
      <c r="A5" s="21" t="s">
        <v>5</v>
      </c>
      <c r="B5" s="21"/>
      <c r="C5" s="4"/>
      <c r="D5" s="4"/>
      <c r="E5" s="4"/>
      <c r="F5" s="4"/>
      <c r="G5" s="4"/>
    </row>
    <row r="6" spans="1:7" s="44" customFormat="1" ht="16.8" x14ac:dyDescent="0.3">
      <c r="A6" s="43" t="s">
        <v>7</v>
      </c>
      <c r="B6" s="43"/>
      <c r="C6" s="13">
        <v>20</v>
      </c>
      <c r="D6" s="13">
        <v>175</v>
      </c>
      <c r="E6" s="13">
        <v>55</v>
      </c>
      <c r="F6" s="13">
        <v>85</v>
      </c>
      <c r="G6" s="13">
        <v>30</v>
      </c>
    </row>
    <row r="7" spans="1:7" s="44" customFormat="1" ht="16.8" x14ac:dyDescent="0.3">
      <c r="A7" s="45" t="s">
        <v>8</v>
      </c>
      <c r="B7" s="45"/>
      <c r="C7" s="14">
        <v>28</v>
      </c>
      <c r="D7" s="14">
        <v>3.65</v>
      </c>
      <c r="E7" s="14">
        <v>9.65</v>
      </c>
      <c r="F7" s="14">
        <v>4.5999999999999996</v>
      </c>
      <c r="G7" s="14">
        <v>35</v>
      </c>
    </row>
    <row r="8" spans="1:7" ht="16.8" x14ac:dyDescent="0.3">
      <c r="A8" s="22" t="s">
        <v>9</v>
      </c>
      <c r="B8" s="22"/>
      <c r="C8" s="5">
        <f>C7*C6</f>
        <v>560</v>
      </c>
      <c r="D8" s="5">
        <f>D7*D6</f>
        <v>638.75</v>
      </c>
      <c r="E8" s="5">
        <f>E7*E6</f>
        <v>530.75</v>
      </c>
      <c r="F8" s="5">
        <f>F7*F6</f>
        <v>390.99999999999994</v>
      </c>
      <c r="G8" s="5">
        <f>G7*G6</f>
        <v>1050</v>
      </c>
    </row>
    <row r="9" spans="1:7" ht="16.8" x14ac:dyDescent="0.3">
      <c r="A9" s="23"/>
      <c r="B9" s="23"/>
      <c r="C9" s="6"/>
      <c r="D9" s="6"/>
      <c r="E9" s="6"/>
      <c r="F9" s="6"/>
      <c r="G9" s="6"/>
    </row>
    <row r="10" spans="1:7" ht="16.8" x14ac:dyDescent="0.3">
      <c r="A10" s="22" t="s">
        <v>16</v>
      </c>
      <c r="B10" s="22"/>
      <c r="C10" s="6"/>
      <c r="D10" s="6"/>
      <c r="E10" s="6"/>
      <c r="F10" s="6"/>
      <c r="G10" s="6"/>
    </row>
    <row r="11" spans="1:7" s="44" customFormat="1" ht="16.8" x14ac:dyDescent="0.3">
      <c r="A11" s="46" t="s">
        <v>48</v>
      </c>
      <c r="B11" s="47" t="s">
        <v>46</v>
      </c>
      <c r="C11" s="15">
        <f>+Fert!K21</f>
        <v>44.32</v>
      </c>
      <c r="D11" s="15">
        <f>+Fert!K3</f>
        <v>104.92279411764703</v>
      </c>
      <c r="E11" s="15">
        <f>+Fert!K9</f>
        <v>31.114285714285714</v>
      </c>
      <c r="F11" s="15">
        <f>+Fert!K15</f>
        <v>63.948156249999997</v>
      </c>
      <c r="G11" s="15">
        <f>+Fert!K27</f>
        <v>114.125</v>
      </c>
    </row>
    <row r="12" spans="1:7" s="44" customFormat="1" ht="16.8" x14ac:dyDescent="0.3">
      <c r="A12" s="46" t="s">
        <v>10</v>
      </c>
      <c r="B12" s="47" t="s">
        <v>46</v>
      </c>
      <c r="C12" s="15">
        <v>43</v>
      </c>
      <c r="D12" s="15">
        <v>100</v>
      </c>
      <c r="E12" s="15">
        <v>70</v>
      </c>
      <c r="F12" s="15">
        <v>55</v>
      </c>
      <c r="G12" s="15">
        <v>120</v>
      </c>
    </row>
    <row r="13" spans="1:7" s="44" customFormat="1" ht="16.8" x14ac:dyDescent="0.3">
      <c r="A13" s="46" t="s">
        <v>11</v>
      </c>
      <c r="B13" s="47" t="s">
        <v>46</v>
      </c>
      <c r="C13" s="15">
        <v>28</v>
      </c>
      <c r="D13" s="15">
        <v>25</v>
      </c>
      <c r="E13" s="15">
        <v>20</v>
      </c>
      <c r="F13" s="15">
        <v>10</v>
      </c>
      <c r="G13" s="15">
        <v>65</v>
      </c>
    </row>
    <row r="14" spans="1:7" s="17" customFormat="1" ht="16.8" x14ac:dyDescent="0.3">
      <c r="A14" s="46" t="s">
        <v>12</v>
      </c>
      <c r="B14" s="47"/>
      <c r="C14" s="15">
        <f>C6/0.6*0.1</f>
        <v>3.3333333333333339</v>
      </c>
      <c r="D14" s="15">
        <f>D6*0.1</f>
        <v>17.5</v>
      </c>
      <c r="E14" s="15">
        <f>E6*0.1</f>
        <v>5.5</v>
      </c>
      <c r="F14" s="15">
        <f>F6*0.1</f>
        <v>8.5</v>
      </c>
      <c r="G14" s="15">
        <f>4*G6</f>
        <v>120</v>
      </c>
    </row>
    <row r="15" spans="1:7" s="44" customFormat="1" ht="16.8" x14ac:dyDescent="0.3">
      <c r="A15" s="46" t="s">
        <v>13</v>
      </c>
      <c r="B15" s="47"/>
      <c r="C15" s="15">
        <v>35</v>
      </c>
      <c r="D15" s="15">
        <v>20</v>
      </c>
      <c r="E15" s="15">
        <v>20</v>
      </c>
      <c r="F15" s="15">
        <v>20</v>
      </c>
      <c r="G15" s="15">
        <v>75</v>
      </c>
    </row>
    <row r="16" spans="1:7" s="44" customFormat="1" ht="16.8" x14ac:dyDescent="0.3">
      <c r="A16" s="46" t="s">
        <v>14</v>
      </c>
      <c r="B16" s="47" t="s">
        <v>46</v>
      </c>
      <c r="C16" s="15">
        <v>6</v>
      </c>
      <c r="D16" s="15">
        <v>12</v>
      </c>
      <c r="E16" s="15">
        <v>6</v>
      </c>
      <c r="F16" s="15">
        <v>12</v>
      </c>
      <c r="G16" s="15">
        <v>8</v>
      </c>
    </row>
    <row r="17" spans="1:7" s="44" customFormat="1" ht="16.8" x14ac:dyDescent="0.3">
      <c r="A17" s="46" t="s">
        <v>23</v>
      </c>
      <c r="B17" s="47" t="s">
        <v>46</v>
      </c>
      <c r="C17" s="15">
        <v>59</v>
      </c>
      <c r="D17" s="15">
        <v>46</v>
      </c>
      <c r="E17" s="15">
        <v>46</v>
      </c>
      <c r="F17" s="15">
        <v>30</v>
      </c>
      <c r="G17" s="15">
        <v>45</v>
      </c>
    </row>
    <row r="18" spans="1:7" s="44" customFormat="1" ht="16.8" x14ac:dyDescent="0.3">
      <c r="A18" s="46" t="s">
        <v>49</v>
      </c>
      <c r="B18" s="47" t="s">
        <v>46</v>
      </c>
      <c r="C18" s="15">
        <v>27</v>
      </c>
      <c r="D18" s="15">
        <v>10</v>
      </c>
      <c r="E18" s="15">
        <v>10</v>
      </c>
      <c r="F18" s="15">
        <v>21</v>
      </c>
      <c r="G18" s="15">
        <v>23</v>
      </c>
    </row>
    <row r="19" spans="1:7" s="44" customFormat="1" ht="16.8" x14ac:dyDescent="0.3">
      <c r="A19" s="46" t="s">
        <v>22</v>
      </c>
      <c r="B19" s="46"/>
      <c r="C19" s="15">
        <v>10</v>
      </c>
      <c r="D19" s="15">
        <v>0</v>
      </c>
      <c r="E19" s="15">
        <v>5</v>
      </c>
      <c r="F19" s="15">
        <v>5</v>
      </c>
      <c r="G19" s="15">
        <v>5</v>
      </c>
    </row>
    <row r="20" spans="1:7" s="44" customFormat="1" ht="16.8" x14ac:dyDescent="0.3">
      <c r="A20" s="46" t="s">
        <v>45</v>
      </c>
      <c r="B20" s="46"/>
      <c r="C20" s="16"/>
      <c r="D20" s="16">
        <f>D6*0.2</f>
        <v>35</v>
      </c>
      <c r="E20" s="16"/>
      <c r="F20" s="16"/>
      <c r="G20" s="16"/>
    </row>
    <row r="21" spans="1:7" s="17" customFormat="1" ht="16.8" x14ac:dyDescent="0.3">
      <c r="A21" s="48" t="s">
        <v>18</v>
      </c>
      <c r="B21" s="49">
        <v>0.05</v>
      </c>
      <c r="C21" s="26">
        <f>(C11+C12+C13+C16+C17+C18)*8/12*$B21</f>
        <v>6.9106666666666676</v>
      </c>
      <c r="D21" s="26">
        <f>(D11+D12+D13+D16+D17+D18)*8/12*$B21</f>
        <v>9.9307598039215677</v>
      </c>
      <c r="E21" s="26">
        <f>(E11+E12+E13+E16+E17+E18)*8/12*$B21</f>
        <v>6.1038095238095238</v>
      </c>
      <c r="F21" s="26">
        <f>(F11+F12+F13+F16+F17+F18)*8/12*$B21</f>
        <v>6.3982718750000007</v>
      </c>
      <c r="G21" s="26">
        <f>(G11+G12+G13+G16+G17+G18)*8/12*$B21</f>
        <v>12.504166666666668</v>
      </c>
    </row>
    <row r="22" spans="1:7" ht="16.8" x14ac:dyDescent="0.3">
      <c r="A22" s="22" t="s">
        <v>17</v>
      </c>
      <c r="B22" s="22"/>
      <c r="C22" s="10">
        <f>SUM(C11:C21)</f>
        <v>262.56399999999996</v>
      </c>
      <c r="D22" s="10">
        <f>SUM(D11:D21)</f>
        <v>380.35355392156856</v>
      </c>
      <c r="E22" s="10">
        <f>SUM(E11:E21)</f>
        <v>219.71809523809523</v>
      </c>
      <c r="F22" s="10">
        <f>SUM(F11:F21)</f>
        <v>231.84642812500002</v>
      </c>
      <c r="G22" s="10">
        <f>SUM(G11:G21)</f>
        <v>587.62916666666672</v>
      </c>
    </row>
    <row r="23" spans="1:7" ht="16.8" x14ac:dyDescent="0.3">
      <c r="A23" s="24"/>
      <c r="B23" s="24"/>
      <c r="C23" s="7"/>
      <c r="D23" s="7"/>
      <c r="E23" s="7"/>
      <c r="F23" s="7"/>
      <c r="G23" s="7"/>
    </row>
    <row r="24" spans="1:7" ht="16.8" x14ac:dyDescent="0.3">
      <c r="A24" s="22" t="s">
        <v>15</v>
      </c>
      <c r="B24" s="22"/>
      <c r="C24" s="8">
        <f>C8-C22</f>
        <v>297.43600000000004</v>
      </c>
      <c r="D24" s="8">
        <f>D8-D22</f>
        <v>258.39644607843144</v>
      </c>
      <c r="E24" s="8">
        <f>E8-E22</f>
        <v>311.0319047619048</v>
      </c>
      <c r="F24" s="8">
        <f>F8-F22</f>
        <v>159.15357187499993</v>
      </c>
      <c r="G24" s="8">
        <f>G8-G22</f>
        <v>462.37083333333328</v>
      </c>
    </row>
    <row r="25" spans="1:7" ht="16.8" x14ac:dyDescent="0.3">
      <c r="A25" s="22" t="s">
        <v>24</v>
      </c>
      <c r="B25" s="22"/>
      <c r="C25" s="8">
        <f>($D$24+C22)/C6</f>
        <v>26.048022303921574</v>
      </c>
      <c r="D25" s="8"/>
      <c r="E25" s="8">
        <f>($D$24+E22)/E6</f>
        <v>8.6929916603004855</v>
      </c>
      <c r="F25" s="8">
        <f>($D$24+F22)/F6</f>
        <v>5.7675632259227232</v>
      </c>
      <c r="G25" s="8">
        <f>($D$24+G22)/G6</f>
        <v>28.200853758169941</v>
      </c>
    </row>
    <row r="26" spans="1:7" ht="16.8" x14ac:dyDescent="0.3">
      <c r="A26" s="23"/>
      <c r="B26" s="23"/>
      <c r="C26" s="1"/>
      <c r="D26" s="1"/>
      <c r="E26" s="1"/>
      <c r="F26" s="1"/>
      <c r="G26" s="1"/>
    </row>
    <row r="27" spans="1:7" ht="16.8" x14ac:dyDescent="0.3">
      <c r="A27" s="22" t="s">
        <v>19</v>
      </c>
      <c r="B27" s="22"/>
      <c r="C27" s="8">
        <f>((C6*0.8)*C7)-C22-(C14*0.2)</f>
        <v>184.76933333333338</v>
      </c>
      <c r="D27" s="8">
        <f>((D6*0.8)*D7)-D22-(((D6*0.8)*0.12)-D20)</f>
        <v>148.84644607843143</v>
      </c>
      <c r="E27" s="8">
        <f>((E6*0.8)*E7)-E22-(E14*0.2)</f>
        <v>203.7819047619048</v>
      </c>
      <c r="F27" s="8">
        <f>((F6*0.8)*F7)-F22-(F14*0.2)</f>
        <v>79.253571874999935</v>
      </c>
      <c r="G27" s="8">
        <f>((G6*0.8)*G7)-G22-(G14*0.2)</f>
        <v>228.37083333333328</v>
      </c>
    </row>
    <row r="28" spans="1:7" ht="16.8" x14ac:dyDescent="0.3">
      <c r="A28" s="22" t="s">
        <v>24</v>
      </c>
      <c r="B28" s="22"/>
      <c r="C28" s="8">
        <f>($D$27+C22)/(C6*0.8)</f>
        <v>25.713152879901962</v>
      </c>
      <c r="D28" s="8"/>
      <c r="E28" s="8">
        <f>($D$27+E22)/(E6*0.8)</f>
        <v>8.3764668481028774</v>
      </c>
      <c r="F28" s="8">
        <f>($D$27+F22)/(F6*0.8)</f>
        <v>5.5984246206386974</v>
      </c>
      <c r="G28" s="8">
        <f>($D$27+G22)/(G6*0.8)</f>
        <v>30.686483864379088</v>
      </c>
    </row>
    <row r="29" spans="1:7" ht="16.8" x14ac:dyDescent="0.3">
      <c r="A29" s="23"/>
      <c r="B29" s="23"/>
      <c r="C29" s="9"/>
      <c r="D29" s="9"/>
      <c r="E29" s="9"/>
      <c r="F29" s="9"/>
      <c r="G29" s="9"/>
    </row>
    <row r="30" spans="1:7" ht="16.8" x14ac:dyDescent="0.3">
      <c r="A30" s="22" t="s">
        <v>20</v>
      </c>
      <c r="B30" s="22"/>
      <c r="C30" s="8">
        <f>((C6*1.2)*C7)-C22+((C14*1.2)-C14)</f>
        <v>410.10266666666672</v>
      </c>
      <c r="D30" s="8">
        <f>((D6*1.2)*D7)-D22+((D14*1.2)-D14)-(((D6*1.2)*0.12)-D20)</f>
        <v>399.44644607843145</v>
      </c>
      <c r="E30" s="8">
        <f>((E6*1.2)*E7)-E22+((E14*1.2)-E14)</f>
        <v>418.2819047619048</v>
      </c>
      <c r="F30" s="8">
        <f>((F6*1.2)*F7)-F22+((F14*1.2)-F14)</f>
        <v>239.05357187499996</v>
      </c>
      <c r="G30" s="8">
        <f>((G6*1.2)*G7)-G22+((G14*1.2)-G14)</f>
        <v>696.37083333333328</v>
      </c>
    </row>
    <row r="31" spans="1:7" ht="16.8" x14ac:dyDescent="0.3">
      <c r="A31" s="22" t="s">
        <v>24</v>
      </c>
      <c r="B31" s="22"/>
      <c r="C31" s="8">
        <f>($D$30+C22)/(C6*1.2)</f>
        <v>27.583768586601309</v>
      </c>
      <c r="D31" s="8"/>
      <c r="E31" s="8">
        <f>($D$30+E22)/(E6*1.2)</f>
        <v>9.381280929038283</v>
      </c>
      <c r="F31" s="8">
        <f>($D$30+F22)/(F6*1.2)</f>
        <v>6.1891458255238376</v>
      </c>
      <c r="G31" s="8">
        <f>($D$30+G22)/(G6*1.2)</f>
        <v>27.418767020697171</v>
      </c>
    </row>
    <row r="33" spans="1:2" x14ac:dyDescent="0.25">
      <c r="A33" s="25" t="s">
        <v>25</v>
      </c>
      <c r="B33" s="25"/>
    </row>
  </sheetData>
  <mergeCells count="2">
    <mergeCell ref="F3:F4"/>
    <mergeCell ref="G3:G4"/>
  </mergeCells>
  <phoneticPr fontId="0" type="noConversion"/>
  <pageMargins left="0.75" right="0.75" top="1" bottom="1" header="0.5" footer="0.5"/>
  <pageSetup scale="87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opLeftCell="C1" workbookViewId="0">
      <selection activeCell="N8" sqref="N8"/>
    </sheetView>
  </sheetViews>
  <sheetFormatPr defaultColWidth="9.109375" defaultRowHeight="15" customHeight="1" x14ac:dyDescent="0.3"/>
  <cols>
    <col min="1" max="1" width="15.44140625" style="32" customWidth="1"/>
    <col min="2" max="2" width="6.33203125" style="32" customWidth="1"/>
    <col min="3" max="5" width="9.109375" style="27" customWidth="1"/>
    <col min="6" max="6" width="2.88671875" style="27" customWidth="1"/>
    <col min="7" max="9" width="9.109375" style="28" customWidth="1"/>
    <col min="10" max="16384" width="9.109375" style="27"/>
  </cols>
  <sheetData>
    <row r="2" spans="1:14" s="30" customFormat="1" ht="15" customHeight="1" x14ac:dyDescent="0.3">
      <c r="A2" s="32"/>
      <c r="B2" s="32"/>
      <c r="C2" s="30" t="s">
        <v>27</v>
      </c>
      <c r="D2" s="30" t="s">
        <v>28</v>
      </c>
      <c r="E2" s="30" t="s">
        <v>29</v>
      </c>
      <c r="G2" s="31" t="s">
        <v>32</v>
      </c>
      <c r="H2" s="31" t="s">
        <v>33</v>
      </c>
      <c r="I2" s="31" t="s">
        <v>34</v>
      </c>
      <c r="J2" s="30" t="s">
        <v>35</v>
      </c>
      <c r="K2" s="30" t="s">
        <v>36</v>
      </c>
      <c r="M2" s="41"/>
      <c r="N2" s="41" t="s">
        <v>37</v>
      </c>
    </row>
    <row r="3" spans="1:14" ht="15" customHeight="1" x14ac:dyDescent="0.3">
      <c r="A3" s="32" t="s">
        <v>3</v>
      </c>
      <c r="B3" s="27" t="s">
        <v>40</v>
      </c>
      <c r="C3" s="27">
        <v>1</v>
      </c>
      <c r="D3" s="27">
        <v>0.2</v>
      </c>
      <c r="E3" s="27">
        <v>0.3</v>
      </c>
      <c r="F3" s="34" t="s">
        <v>42</v>
      </c>
      <c r="G3" s="28">
        <v>1370</v>
      </c>
      <c r="H3" s="28">
        <v>300</v>
      </c>
      <c r="I3" s="28">
        <v>330</v>
      </c>
      <c r="J3" s="28">
        <f>500*B5</f>
        <v>514.7058823529411</v>
      </c>
      <c r="K3" s="29">
        <f>+J5*J3/2000</f>
        <v>104.92279411764703</v>
      </c>
      <c r="M3" s="42" t="s">
        <v>32</v>
      </c>
      <c r="N3" s="40">
        <v>350</v>
      </c>
    </row>
    <row r="4" spans="1:14" ht="15" customHeight="1" x14ac:dyDescent="0.3">
      <c r="A4" s="27" t="s">
        <v>41</v>
      </c>
      <c r="B4" s="33">
        <f>+Crops!D6</f>
        <v>175</v>
      </c>
      <c r="C4" s="27">
        <f>+B4*C3</f>
        <v>175</v>
      </c>
      <c r="D4" s="27">
        <f>+D3*B4</f>
        <v>35</v>
      </c>
      <c r="E4" s="27">
        <f>+E3*B4</f>
        <v>52.5</v>
      </c>
      <c r="F4" s="34" t="s">
        <v>25</v>
      </c>
      <c r="J4" s="30" t="s">
        <v>37</v>
      </c>
      <c r="M4" s="42"/>
      <c r="N4" s="40"/>
    </row>
    <row r="5" spans="1:14" ht="15" customHeight="1" x14ac:dyDescent="0.3">
      <c r="B5" s="39">
        <f>+B4/170</f>
        <v>1.0294117647058822</v>
      </c>
      <c r="C5" s="36">
        <f>+$J3*(G3*0.46/2000+H3*0.18/2000)*$B5</f>
        <v>181.25973183391002</v>
      </c>
      <c r="D5" s="36">
        <f>+$J3*H3*0.46/2000*B5</f>
        <v>36.559256055363313</v>
      </c>
      <c r="E5" s="36">
        <f>+$J3*I3*0.6/2000*B5</f>
        <v>52.454584775086488</v>
      </c>
      <c r="F5" s="35" t="s">
        <v>43</v>
      </c>
      <c r="G5" s="28">
        <f>+N$3*G3/2000</f>
        <v>239.75</v>
      </c>
      <c r="H5" s="28">
        <f>+N$5*H3/2000</f>
        <v>73.5</v>
      </c>
      <c r="I5" s="28">
        <f>+N$7*I3/2000</f>
        <v>54.45</v>
      </c>
      <c r="J5" s="28">
        <f>+G5+H5+I5+J6</f>
        <v>407.7</v>
      </c>
      <c r="M5" s="42" t="s">
        <v>33</v>
      </c>
      <c r="N5" s="40">
        <v>490</v>
      </c>
    </row>
    <row r="6" spans="1:14" ht="15" customHeight="1" x14ac:dyDescent="0.3">
      <c r="D6" s="27" t="s">
        <v>25</v>
      </c>
      <c r="I6" s="28" t="s">
        <v>44</v>
      </c>
      <c r="J6" s="27">
        <v>40</v>
      </c>
      <c r="M6" s="42"/>
      <c r="N6" s="40"/>
    </row>
    <row r="7" spans="1:14" ht="15" customHeight="1" x14ac:dyDescent="0.3">
      <c r="M7" s="42" t="s">
        <v>34</v>
      </c>
      <c r="N7" s="40">
        <v>330</v>
      </c>
    </row>
    <row r="8" spans="1:14" s="30" customFormat="1" ht="15" customHeight="1" x14ac:dyDescent="0.3">
      <c r="A8" s="32"/>
      <c r="B8" s="32"/>
      <c r="C8" s="30" t="s">
        <v>27</v>
      </c>
      <c r="D8" s="30" t="s">
        <v>28</v>
      </c>
      <c r="E8" s="30" t="s">
        <v>29</v>
      </c>
      <c r="G8" s="31" t="s">
        <v>32</v>
      </c>
      <c r="H8" s="31" t="s">
        <v>33</v>
      </c>
      <c r="I8" s="31" t="s">
        <v>34</v>
      </c>
      <c r="J8" s="30" t="s">
        <v>35</v>
      </c>
      <c r="K8" s="30" t="s">
        <v>36</v>
      </c>
    </row>
    <row r="9" spans="1:14" ht="15" customHeight="1" x14ac:dyDescent="0.3">
      <c r="A9" s="32" t="s">
        <v>4</v>
      </c>
      <c r="B9" s="27" t="s">
        <v>40</v>
      </c>
      <c r="D9" s="27">
        <v>0.3</v>
      </c>
      <c r="E9" s="27">
        <v>1.4</v>
      </c>
      <c r="F9" s="34" t="s">
        <v>42</v>
      </c>
      <c r="G9" s="28">
        <v>0</v>
      </c>
      <c r="H9" s="28">
        <v>450</v>
      </c>
      <c r="I9" s="28">
        <v>1550</v>
      </c>
      <c r="J9" s="28">
        <f>200*B11</f>
        <v>157.14285714285714</v>
      </c>
      <c r="K9" s="29">
        <f>+J11*J9/2000</f>
        <v>31.114285714285714</v>
      </c>
    </row>
    <row r="10" spans="1:14" ht="15" customHeight="1" x14ac:dyDescent="0.25">
      <c r="A10" s="27" t="s">
        <v>41</v>
      </c>
      <c r="B10" s="33">
        <f>+Crops!E6</f>
        <v>55</v>
      </c>
      <c r="C10" s="27">
        <f>+B10*C9</f>
        <v>0</v>
      </c>
      <c r="D10" s="27">
        <f>+D9*B10</f>
        <v>16.5</v>
      </c>
      <c r="E10" s="27">
        <f>+E9*B10</f>
        <v>77</v>
      </c>
      <c r="F10" s="34" t="s">
        <v>25</v>
      </c>
      <c r="J10" s="30" t="s">
        <v>37</v>
      </c>
    </row>
    <row r="11" spans="1:14" ht="15" customHeight="1" x14ac:dyDescent="0.3">
      <c r="B11" s="38">
        <f>+B10/70</f>
        <v>0.7857142857142857</v>
      </c>
      <c r="C11" s="36">
        <f>+$J9*(G9*0.46/2000+H9*0.18/2000)*$B11</f>
        <v>5.0005102040816318</v>
      </c>
      <c r="D11" s="36">
        <f>+$J9*H9*0.46/2000*B11</f>
        <v>12.77908163265306</v>
      </c>
      <c r="E11" s="36">
        <f>+$J9*I9*0.6/2000*B11</f>
        <v>57.413265306122447</v>
      </c>
      <c r="F11" s="35" t="s">
        <v>43</v>
      </c>
      <c r="G11" s="28">
        <f>+N$3*G9/2000</f>
        <v>0</v>
      </c>
      <c r="H11" s="28">
        <f>+N$5*H9/2000</f>
        <v>110.25</v>
      </c>
      <c r="I11" s="28">
        <f>+N$7*I9/2000</f>
        <v>255.75</v>
      </c>
      <c r="J11" s="28">
        <f>+G11+H11+I11+J12</f>
        <v>396</v>
      </c>
      <c r="N11" s="27" t="s">
        <v>25</v>
      </c>
    </row>
    <row r="12" spans="1:14" ht="15" customHeight="1" x14ac:dyDescent="0.3">
      <c r="D12" s="27" t="s">
        <v>25</v>
      </c>
      <c r="I12" s="28" t="s">
        <v>44</v>
      </c>
      <c r="J12" s="27">
        <v>30</v>
      </c>
    </row>
    <row r="14" spans="1:14" s="30" customFormat="1" ht="15" customHeight="1" x14ac:dyDescent="0.3">
      <c r="A14" s="32"/>
      <c r="B14" s="32"/>
      <c r="C14" s="30" t="s">
        <v>27</v>
      </c>
      <c r="D14" s="30" t="s">
        <v>28</v>
      </c>
      <c r="E14" s="30" t="s">
        <v>29</v>
      </c>
      <c r="G14" s="31" t="s">
        <v>32</v>
      </c>
      <c r="H14" s="31" t="s">
        <v>33</v>
      </c>
      <c r="I14" s="31" t="s">
        <v>34</v>
      </c>
      <c r="J14" s="30" t="s">
        <v>35</v>
      </c>
      <c r="K14" s="30" t="s">
        <v>36</v>
      </c>
    </row>
    <row r="15" spans="1:14" ht="15" customHeight="1" x14ac:dyDescent="0.3">
      <c r="A15" s="32" t="s">
        <v>30</v>
      </c>
      <c r="B15" s="27" t="s">
        <v>40</v>
      </c>
      <c r="C15" s="27">
        <v>1.2</v>
      </c>
      <c r="D15" s="27">
        <v>0.3</v>
      </c>
      <c r="E15" s="27">
        <v>0.6</v>
      </c>
      <c r="F15" s="34" t="s">
        <v>42</v>
      </c>
      <c r="G15" s="28">
        <v>1190</v>
      </c>
      <c r="H15" s="28">
        <v>330</v>
      </c>
      <c r="I15" s="28">
        <v>480</v>
      </c>
      <c r="J15" s="28">
        <f>310*B17</f>
        <v>329.375</v>
      </c>
      <c r="K15" s="29">
        <f>+J17*J15/2000</f>
        <v>63.948156249999997</v>
      </c>
    </row>
    <row r="16" spans="1:14" ht="15" customHeight="1" x14ac:dyDescent="0.25">
      <c r="A16" s="27" t="s">
        <v>41</v>
      </c>
      <c r="B16" s="33">
        <f>+Crops!F6</f>
        <v>85</v>
      </c>
      <c r="C16" s="27">
        <f>+B16*C15</f>
        <v>102</v>
      </c>
      <c r="D16" s="27">
        <f>+D15*B16</f>
        <v>25.5</v>
      </c>
      <c r="E16" s="27">
        <f>+E15*B16</f>
        <v>51</v>
      </c>
      <c r="F16" s="34" t="s">
        <v>25</v>
      </c>
      <c r="J16" s="30" t="s">
        <v>37</v>
      </c>
    </row>
    <row r="17" spans="1:11" ht="15" customHeight="1" x14ac:dyDescent="0.3">
      <c r="B17" s="38">
        <f>+B16/80</f>
        <v>1.0625</v>
      </c>
      <c r="C17" s="36">
        <f>+$J15*(G15*0.46/2000+H15*0.18/2000)*$B17</f>
        <v>106.17814843750001</v>
      </c>
      <c r="D17" s="36">
        <f>+$J15*H15*0.46/2000*B17</f>
        <v>26.562035156250001</v>
      </c>
      <c r="E17" s="36">
        <f>+$J15*I15*0.6/2000*B17</f>
        <v>50.394374999999997</v>
      </c>
      <c r="F17" s="35" t="s">
        <v>43</v>
      </c>
      <c r="G17" s="28">
        <f>+N$3*G15/2000</f>
        <v>208.25</v>
      </c>
      <c r="H17" s="28">
        <f>+N$5*H15/2000</f>
        <v>80.849999999999994</v>
      </c>
      <c r="I17" s="28">
        <f>+N$7*I15/2000</f>
        <v>79.2</v>
      </c>
      <c r="J17" s="28">
        <f>+G17+H17+I17+J18</f>
        <v>388.3</v>
      </c>
    </row>
    <row r="18" spans="1:11" ht="15" customHeight="1" x14ac:dyDescent="0.3">
      <c r="D18" s="27" t="s">
        <v>25</v>
      </c>
      <c r="I18" s="28" t="s">
        <v>44</v>
      </c>
      <c r="J18" s="27">
        <v>20</v>
      </c>
    </row>
    <row r="20" spans="1:11" s="30" customFormat="1" ht="15" customHeight="1" x14ac:dyDescent="0.3">
      <c r="A20" s="32"/>
      <c r="B20" s="32"/>
      <c r="C20" s="30" t="s">
        <v>27</v>
      </c>
      <c r="D20" s="30" t="s">
        <v>28</v>
      </c>
      <c r="E20" s="30" t="s">
        <v>29</v>
      </c>
      <c r="G20" s="31" t="s">
        <v>32</v>
      </c>
      <c r="H20" s="31" t="s">
        <v>33</v>
      </c>
      <c r="I20" s="31" t="s">
        <v>34</v>
      </c>
      <c r="J20" s="30" t="s">
        <v>35</v>
      </c>
      <c r="K20" s="30" t="s">
        <v>36</v>
      </c>
    </row>
    <row r="21" spans="1:11" ht="15" customHeight="1" x14ac:dyDescent="0.3">
      <c r="A21" s="32" t="s">
        <v>31</v>
      </c>
      <c r="B21" s="27" t="s">
        <v>38</v>
      </c>
      <c r="C21" s="27">
        <v>2</v>
      </c>
      <c r="D21" s="27">
        <v>2</v>
      </c>
      <c r="E21" s="27">
        <v>2</v>
      </c>
      <c r="F21" s="34" t="s">
        <v>42</v>
      </c>
      <c r="G21" s="28">
        <v>520</v>
      </c>
      <c r="H21" s="28">
        <v>850</v>
      </c>
      <c r="I21" s="28">
        <v>630</v>
      </c>
      <c r="J21" s="28">
        <f>200*B23</f>
        <v>200</v>
      </c>
      <c r="K21" s="29">
        <f>+J23*J21/2000</f>
        <v>44.32</v>
      </c>
    </row>
    <row r="22" spans="1:11" ht="15" customHeight="1" x14ac:dyDescent="0.25">
      <c r="A22" s="27" t="s">
        <v>41</v>
      </c>
      <c r="B22" s="33">
        <f>+Crops!C6</f>
        <v>20</v>
      </c>
      <c r="C22" s="27">
        <f>+B22*C21</f>
        <v>40</v>
      </c>
      <c r="D22" s="27">
        <f>+D21*B22</f>
        <v>40</v>
      </c>
      <c r="E22" s="27">
        <f>+E21*B22</f>
        <v>40</v>
      </c>
      <c r="F22" s="34" t="s">
        <v>25</v>
      </c>
      <c r="J22" s="30" t="s">
        <v>37</v>
      </c>
    </row>
    <row r="23" spans="1:11" ht="15" customHeight="1" x14ac:dyDescent="0.3">
      <c r="B23" s="37">
        <f>+B22/20</f>
        <v>1</v>
      </c>
      <c r="C23" s="36">
        <f>+$J21*(G21*0.46/2000+H21*0.18/2000)*$B23</f>
        <v>39.22</v>
      </c>
      <c r="D23" s="36">
        <f>+$J21*H21*0.46/2000*B23</f>
        <v>39.1</v>
      </c>
      <c r="E23" s="36">
        <f>+$J21*I21*0.6/2000*B23</f>
        <v>37.799999999999997</v>
      </c>
      <c r="F23" s="35" t="s">
        <v>43</v>
      </c>
      <c r="G23" s="28">
        <f>+N$3*G21/2000</f>
        <v>91</v>
      </c>
      <c r="H23" s="28">
        <f>+N$5*H21/2000</f>
        <v>208.25</v>
      </c>
      <c r="I23" s="28">
        <f>+N$7*I21/2000</f>
        <v>103.95</v>
      </c>
      <c r="J23" s="28">
        <f>+G23+H23+I23+J24</f>
        <v>443.2</v>
      </c>
    </row>
    <row r="24" spans="1:11" ht="15" customHeight="1" x14ac:dyDescent="0.3">
      <c r="D24" s="27" t="s">
        <v>25</v>
      </c>
      <c r="I24" s="28" t="s">
        <v>44</v>
      </c>
      <c r="J24" s="27">
        <v>40</v>
      </c>
    </row>
    <row r="26" spans="1:11" s="30" customFormat="1" ht="15" customHeight="1" x14ac:dyDescent="0.3">
      <c r="A26" s="32"/>
      <c r="B26" s="32"/>
      <c r="C26" s="30" t="s">
        <v>27</v>
      </c>
      <c r="D26" s="30" t="s">
        <v>28</v>
      </c>
      <c r="E26" s="30" t="s">
        <v>29</v>
      </c>
      <c r="G26" s="31" t="s">
        <v>32</v>
      </c>
      <c r="H26" s="31" t="s">
        <v>33</v>
      </c>
      <c r="I26" s="31" t="s">
        <v>34</v>
      </c>
      <c r="J26" s="30" t="s">
        <v>35</v>
      </c>
      <c r="K26" s="30" t="s">
        <v>36</v>
      </c>
    </row>
    <row r="27" spans="1:11" ht="15" customHeight="1" x14ac:dyDescent="0.3">
      <c r="A27" s="32" t="s">
        <v>26</v>
      </c>
      <c r="B27" s="27" t="s">
        <v>39</v>
      </c>
      <c r="C27" s="27">
        <v>100</v>
      </c>
      <c r="D27" s="27">
        <v>60</v>
      </c>
      <c r="E27" s="27">
        <v>150</v>
      </c>
      <c r="F27" s="34" t="s">
        <v>42</v>
      </c>
      <c r="G27" s="28">
        <v>620</v>
      </c>
      <c r="H27" s="28">
        <v>485</v>
      </c>
      <c r="I27" s="28">
        <v>895</v>
      </c>
      <c r="J27" s="27">
        <v>550</v>
      </c>
      <c r="K27" s="29">
        <f>+J29*J27/2000</f>
        <v>114.125</v>
      </c>
    </row>
    <row r="28" spans="1:11" ht="15" customHeight="1" x14ac:dyDescent="0.3">
      <c r="A28" s="27" t="s">
        <v>25</v>
      </c>
      <c r="C28" s="28">
        <f>+$J27*(G27*0.46/2000+H27*0.18/2000)</f>
        <v>102.4375</v>
      </c>
      <c r="D28" s="28">
        <f>+$J27*H27*0.46/2000</f>
        <v>61.352499999999999</v>
      </c>
      <c r="E28" s="28">
        <f>+$J27*I27*0.6/2000</f>
        <v>147.67500000000001</v>
      </c>
      <c r="F28" s="34" t="s">
        <v>25</v>
      </c>
      <c r="J28" s="30" t="s">
        <v>37</v>
      </c>
    </row>
    <row r="29" spans="1:11" ht="15" customHeight="1" x14ac:dyDescent="0.3">
      <c r="F29" s="35" t="s">
        <v>43</v>
      </c>
      <c r="G29" s="28">
        <f>+N$3*G27/2000</f>
        <v>108.5</v>
      </c>
      <c r="H29" s="28">
        <f>+N$5*H27/2000</f>
        <v>118.825</v>
      </c>
      <c r="I29" s="28">
        <f>+N$7*I27/2000</f>
        <v>147.67500000000001</v>
      </c>
      <c r="J29" s="28">
        <f>+G29+H29+I29+J30</f>
        <v>415</v>
      </c>
    </row>
    <row r="30" spans="1:11" ht="15" customHeight="1" x14ac:dyDescent="0.3">
      <c r="D30" s="27" t="s">
        <v>25</v>
      </c>
      <c r="I30" s="28" t="s">
        <v>44</v>
      </c>
      <c r="J30" s="27">
        <v>40</v>
      </c>
    </row>
  </sheetData>
  <sheetProtection sheet="1" objects="1" scenarios="1"/>
  <phoneticPr fontId="0" type="noConversion"/>
  <pageMargins left="0.47" right="0.3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D12ACC8D-6585-48BE-BF60-E06F493179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Crops</vt:lpstr>
      <vt:lpstr>Fert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</dc:creator>
  <cp:lastModifiedBy>Tom</cp:lastModifiedBy>
  <cp:lastPrinted>2018-03-23T15:13:36Z</cp:lastPrinted>
  <dcterms:created xsi:type="dcterms:W3CDTF">2007-01-02T16:31:01Z</dcterms:created>
  <dcterms:modified xsi:type="dcterms:W3CDTF">2018-03-23T17:41:45Z</dcterms:modified>
</cp:coreProperties>
</file>